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Параметры" sheetId="1" state="visible" r:id="rId1"/>
    <sheet xmlns:r="http://schemas.openxmlformats.org/officeDocument/2006/relationships" name="Результат" sheetId="2" state="visible" r:id="rId2"/>
    <sheet xmlns:r="http://schemas.openxmlformats.org/officeDocument/2006/relationships" name="Расчёты" sheetId="3" state="hidden" r:id="rId3"/>
  </sheets>
  <definedNames>
    <definedName name="ENG_RATE_ARM">Параметры!$B$20</definedName>
    <definedName name="ENG_RATE_SRV">Параметры!$B$21</definedName>
    <definedName name="ENG_RATE_PRN">Параметры!$B$22</definedName>
    <definedName name="WD">Параметры!$B$23</definedName>
    <definedName name="TRANS">Параметры!$B$24</definedName>
    <definedName name="OVH">Параметры!$B$25</definedName>
    <definedName name="OVH_METHOD">Параметры!$B$26</definedName>
    <definedName name="VAT_MODE">Параметры!$B$27</definedName>
    <definedName name="VAT_RATE">Параметры!$B$28</definedName>
    <definedName name="DISC_THR">Параметры!$B$29</definedName>
    <definedName name="DISC_PCT">Параметры!$B$30</definedName>
    <definedName name="RISK_K">Параметры!$B$31</definedName>
    <definedName name="PERIOD">Параметры!$B$32</definedName>
    <definedName name="CAR_DAILY_RATE">Параметры!$B$33</definedName>
    <definedName name="PEAK_RANGE">Параметры!$B$36:$M$36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#,##0_₽;[Red]-#,##0_₽;&quot;-&quot;_₽"/>
    <numFmt numFmtId="165" formatCode="#,##0;[Red]-#,##0;&quot;-&quot;"/>
    <numFmt numFmtId="166" formatCode="#,##0.00;[Red]-#,##0.00;&quot;-&quot;"/>
    <numFmt numFmtId="167" formatCode="#,##0.0;[Red]-#,##0.0;&quot;-&quot;"/>
    <numFmt numFmtId="168" formatCode="#,##0.00_₽;[Red]-#,##0.00_₽;&quot;-&quot;_₽"/>
    <numFmt numFmtId="169" formatCode="0.0%;[Red]-0.0%;&quot;-&quot;"/>
  </numFmts>
  <fonts count="15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color rgb="001F3B4C"/>
      <sz val="9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color rgb="001F3B4C"/>
      <sz val="10"/>
    </font>
    <font>
      <name val="Calibri"/>
      <b val="1"/>
      <color rgb="000E4D9E"/>
      <sz val="11"/>
    </font>
    <font>
      <name val="Calibri"/>
      <i val="1"/>
      <color rgb="005B7F95"/>
      <sz val="9"/>
    </font>
    <font>
      <name val="Calibri"/>
      <b val="1"/>
      <color rgb="001E466E"/>
      <sz val="12"/>
    </font>
    <font>
      <name val="Calibri"/>
      <b val="1"/>
      <color rgb="001E466E"/>
      <sz val="11"/>
    </font>
    <font>
      <name val="Calibri"/>
      <b val="1"/>
      <color rgb="001F3B4C"/>
      <sz val="10"/>
    </font>
    <font>
      <name val="Calibri"/>
      <b val="1"/>
      <color rgb="001F3B4C"/>
      <sz val="11"/>
    </font>
    <font>
      <name val="Calibri"/>
      <b val="1"/>
      <color rgb="001E466E"/>
      <sz val="18"/>
    </font>
    <font>
      <name val="Calibri"/>
      <b val="1"/>
      <color rgb="00FFFFFF"/>
      <sz val="14"/>
    </font>
  </fonts>
  <fills count="15">
    <fill>
      <patternFill/>
    </fill>
    <fill>
      <patternFill patternType="gray125"/>
    </fill>
    <fill>
      <patternFill patternType="solid">
        <fgColor rgb="001E466E"/>
      </patternFill>
    </fill>
    <fill>
      <patternFill patternType="solid">
        <fgColor rgb="002A5A85"/>
      </patternFill>
    </fill>
    <fill>
      <patternFill patternType="solid">
        <fgColor rgb="00FFFBEC"/>
      </patternFill>
    </fill>
    <fill>
      <patternFill patternType="solid">
        <fgColor rgb="001E6F5C"/>
      </patternFill>
    </fill>
    <fill>
      <patternFill patternType="solid">
        <fgColor rgb="002C7DA0"/>
      </patternFill>
    </fill>
    <fill>
      <patternFill patternType="solid">
        <fgColor rgb="00B86F00"/>
      </patternFill>
    </fill>
    <fill>
      <patternFill patternType="solid">
        <fgColor rgb="004A627A"/>
      </patternFill>
    </fill>
    <fill>
      <patternFill patternType="solid">
        <fgColor rgb="00FFF6D6"/>
      </patternFill>
    </fill>
    <fill>
      <patternFill patternType="solid">
        <fgColor rgb="00F8FAFD"/>
      </patternFill>
    </fill>
    <fill>
      <patternFill patternType="solid">
        <fgColor rgb="00F0F4F8"/>
      </patternFill>
    </fill>
    <fill>
      <patternFill patternType="solid">
        <fgColor rgb="00E8F2EF"/>
      </patternFill>
    </fill>
    <fill>
      <patternFill patternType="solid">
        <fgColor rgb="00FBF1DE"/>
      </patternFill>
    </fill>
    <fill>
      <patternFill patternType="solid">
        <fgColor rgb="00E9ECF3"/>
      </patternFill>
    </fill>
  </fills>
  <borders count="5">
    <border>
      <left/>
      <right/>
      <top/>
      <bottom/>
      <diagonal/>
    </border>
    <border>
      <left style="thin">
        <color rgb="00C9D3DD"/>
      </left>
      <right style="thin">
        <color rgb="00C9D3DD"/>
      </right>
      <top style="thin">
        <color rgb="00C9D3DD"/>
      </top>
      <bottom style="thin">
        <color rgb="00C9D3DD"/>
      </bottom>
    </border>
    <border>
      <left style="thick">
        <color rgb="001E6F5C"/>
      </left>
      <right style="thin">
        <color rgb="00C9D3DD"/>
      </right>
      <top style="thin">
        <color rgb="00C9D3DD"/>
      </top>
      <bottom style="thin">
        <color rgb="00C9D3DD"/>
      </bottom>
    </border>
    <border>
      <left style="thick">
        <color rgb="00B86F00"/>
      </left>
      <right style="thin">
        <color rgb="00C9D3DD"/>
      </right>
      <top style="thin">
        <color rgb="00C9D3DD"/>
      </top>
      <bottom style="thin">
        <color rgb="00C9D3DD"/>
      </bottom>
    </border>
    <border>
      <left style="thick">
        <color rgb="001E466E"/>
      </left>
      <right style="thin">
        <color rgb="00C9D3DD"/>
      </right>
      <top style="thin">
        <color rgb="00C9D3DD"/>
      </top>
      <bottom style="thin">
        <color rgb="00C9D3DD"/>
      </bottom>
    </border>
  </borders>
  <cellStyleXfs count="1">
    <xf numFmtId="0" fontId="0" fillId="0" borderId="0"/>
  </cellStyleXfs>
  <cellXfs count="8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3" fillId="4" borderId="0" applyAlignment="1" pivotButton="0" quotePrefix="0" xfId="0">
      <alignment horizontal="center" vertical="center"/>
    </xf>
    <xf numFmtId="0" fontId="0" fillId="4" borderId="0" pivotButton="0" quotePrefix="0" xfId="0"/>
    <xf numFmtId="0" fontId="4" fillId="5" borderId="0" applyAlignment="1" pivotButton="0" quotePrefix="0" xfId="0">
      <alignment horizontal="left" vertical="center" indent="1"/>
    </xf>
    <xf numFmtId="0" fontId="0" fillId="5" borderId="0" pivotButton="0" quotePrefix="0" xfId="0"/>
    <xf numFmtId="0" fontId="5" fillId="8" borderId="0" applyAlignment="1" pivotButton="0" quotePrefix="0" xfId="0">
      <alignment horizontal="left" vertical="center" indent="1"/>
    </xf>
    <xf numFmtId="0" fontId="5" fillId="5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center" vertical="center" wrapText="1"/>
    </xf>
    <xf numFmtId="0" fontId="5" fillId="7" borderId="0" applyAlignment="1" pivotButton="0" quotePrefix="0" xfId="0">
      <alignment horizontal="center" vertical="center" wrapText="1"/>
    </xf>
    <xf numFmtId="0" fontId="5" fillId="8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indent="1"/>
    </xf>
    <xf numFmtId="164" fontId="7" fillId="9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 wrapText="1"/>
    </xf>
    <xf numFmtId="0" fontId="6" fillId="10" borderId="0" applyAlignment="1" pivotButton="0" quotePrefix="0" xfId="0">
      <alignment horizontal="left" vertical="center" indent="1"/>
    </xf>
    <xf numFmtId="165" fontId="7" fillId="9" borderId="1" applyAlignment="1" pivotButton="0" quotePrefix="0" xfId="0">
      <alignment horizontal="right" vertical="center"/>
    </xf>
    <xf numFmtId="0" fontId="8" fillId="10" borderId="0" applyAlignment="1" pivotButton="0" quotePrefix="0" xfId="0">
      <alignment horizontal="left" vertical="center" wrapText="1"/>
    </xf>
    <xf numFmtId="166" fontId="7" fillId="9" borderId="1" applyAlignment="1" pivotButton="0" quotePrefix="0" xfId="0">
      <alignment horizontal="right" vertical="center"/>
    </xf>
    <xf numFmtId="167" fontId="7" fillId="9" borderId="1" applyAlignment="1" pivotButton="0" quotePrefix="0" xfId="0">
      <alignment horizontal="right" vertical="center"/>
    </xf>
    <xf numFmtId="164" fontId="6" fillId="11" borderId="1" applyAlignment="1" pivotButton="0" quotePrefix="0" xfId="0">
      <alignment horizontal="right" vertical="center"/>
    </xf>
    <xf numFmtId="0" fontId="7" fillId="9" borderId="1" applyAlignment="1" pivotButton="0" quotePrefix="0" xfId="0">
      <alignment horizontal="center" vertical="center" wrapText="1"/>
    </xf>
    <xf numFmtId="0" fontId="11" fillId="4" borderId="0" applyAlignment="1" pivotButton="0" quotePrefix="0" xfId="0">
      <alignment horizontal="right" vertical="center" indent="1"/>
    </xf>
    <xf numFmtId="0" fontId="11" fillId="4" borderId="0" applyAlignment="1" pivotButton="0" quotePrefix="0" xfId="0">
      <alignment horizontal="left" vertical="center"/>
    </xf>
    <xf numFmtId="0" fontId="8" fillId="4" borderId="0" applyAlignment="1" pivotButton="0" quotePrefix="0" xfId="0">
      <alignment horizontal="left" vertical="center" wrapText="1"/>
    </xf>
    <xf numFmtId="0" fontId="12" fillId="12" borderId="2" applyAlignment="1" pivotButton="0" quotePrefix="0" xfId="0">
      <alignment horizontal="left" vertical="center" indent="1"/>
    </xf>
    <xf numFmtId="164" fontId="13" fillId="12" borderId="1" applyAlignment="1" pivotButton="0" quotePrefix="0" xfId="0">
      <alignment horizontal="right" vertical="center"/>
    </xf>
    <xf numFmtId="0" fontId="8" fillId="12" borderId="0" applyAlignment="1" pivotButton="0" quotePrefix="0" xfId="0">
      <alignment horizontal="left" vertical="center" indent="1"/>
    </xf>
    <xf numFmtId="0" fontId="8" fillId="12" borderId="0" applyAlignment="1" pivotButton="0" quotePrefix="0" xfId="0">
      <alignment horizontal="left" vertical="center" wrapText="1"/>
    </xf>
    <xf numFmtId="0" fontId="12" fillId="13" borderId="3" applyAlignment="1" pivotButton="0" quotePrefix="0" xfId="0">
      <alignment horizontal="left" vertical="center" indent="1"/>
    </xf>
    <xf numFmtId="164" fontId="13" fillId="13" borderId="1" applyAlignment="1" pivotButton="0" quotePrefix="0" xfId="0">
      <alignment horizontal="right" vertical="center"/>
    </xf>
    <xf numFmtId="0" fontId="8" fillId="13" borderId="0" applyAlignment="1" pivotButton="0" quotePrefix="0" xfId="0">
      <alignment horizontal="left" vertical="center" indent="1"/>
    </xf>
    <xf numFmtId="0" fontId="8" fillId="13" borderId="0" applyAlignment="1" pivotButton="0" quotePrefix="0" xfId="0">
      <alignment horizontal="left" vertical="center" wrapText="1"/>
    </xf>
    <xf numFmtId="0" fontId="12" fillId="14" borderId="4" applyAlignment="1" pivotButton="0" quotePrefix="0" xfId="0">
      <alignment horizontal="left" vertical="center" indent="1"/>
    </xf>
    <xf numFmtId="164" fontId="13" fillId="14" borderId="1" applyAlignment="1" pivotButton="0" quotePrefix="0" xfId="0">
      <alignment horizontal="right" vertical="center"/>
    </xf>
    <xf numFmtId="169" fontId="9" fillId="14" borderId="0" applyAlignment="1" pivotButton="0" quotePrefix="0" xfId="0">
      <alignment horizontal="right" vertical="center"/>
    </xf>
    <xf numFmtId="0" fontId="8" fillId="14" borderId="0" applyAlignment="1" pivotButton="0" quotePrefix="0" xfId="0">
      <alignment horizontal="left" vertical="center" indent="1"/>
    </xf>
    <xf numFmtId="0" fontId="10" fillId="14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right" vertical="center"/>
    </xf>
    <xf numFmtId="165" fontId="10" fillId="0" borderId="1" applyAlignment="1" pivotButton="0" quotePrefix="0" xfId="0">
      <alignment horizontal="right" vertical="center"/>
    </xf>
    <xf numFmtId="164" fontId="0" fillId="10" borderId="1" applyAlignment="1" pivotButton="0" quotePrefix="0" xfId="0">
      <alignment horizontal="right" vertical="center"/>
    </xf>
    <xf numFmtId="164" fontId="10" fillId="1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64" fontId="10" fillId="0" borderId="1" applyAlignment="1" pivotButton="0" quotePrefix="0" xfId="0">
      <alignment horizontal="right" vertical="center"/>
    </xf>
    <xf numFmtId="0" fontId="11" fillId="11" borderId="0" applyAlignment="1" pivotButton="0" quotePrefix="0" xfId="0">
      <alignment horizontal="left" vertical="center" indent="1"/>
    </xf>
    <xf numFmtId="164" fontId="11" fillId="11" borderId="1" applyAlignment="1" pivotButton="0" quotePrefix="0" xfId="0">
      <alignment horizontal="right" vertical="center"/>
    </xf>
    <xf numFmtId="164" fontId="10" fillId="11" borderId="1" applyAlignment="1" pivotButton="0" quotePrefix="0" xfId="0">
      <alignment horizontal="right" vertical="center"/>
    </xf>
    <xf numFmtId="164" fontId="6" fillId="0" borderId="1" applyAlignment="1" pivotButton="0" quotePrefix="0" xfId="0">
      <alignment horizontal="right" vertical="center"/>
    </xf>
    <xf numFmtId="164" fontId="6" fillId="10" borderId="1" applyAlignment="1" pivotButton="0" quotePrefix="0" xfId="0">
      <alignment horizontal="right" vertical="center"/>
    </xf>
    <xf numFmtId="0" fontId="10" fillId="11" borderId="0" applyAlignment="1" pivotButton="0" quotePrefix="0" xfId="0">
      <alignment horizontal="left" vertical="center" indent="1"/>
    </xf>
    <xf numFmtId="0" fontId="0" fillId="11" borderId="0" pivotButton="0" quotePrefix="0" xfId="0"/>
    <xf numFmtId="0" fontId="11" fillId="0" borderId="0" applyAlignment="1" pivotButton="0" quotePrefix="0" xfId="0">
      <alignment horizontal="left" vertical="center" indent="1"/>
    </xf>
    <xf numFmtId="164" fontId="11" fillId="0" borderId="1" applyAlignment="1" pivotButton="0" quotePrefix="0" xfId="0">
      <alignment horizontal="right" vertical="center"/>
    </xf>
    <xf numFmtId="0" fontId="11" fillId="10" borderId="0" applyAlignment="1" pivotButton="0" quotePrefix="0" xfId="0">
      <alignment horizontal="left" vertical="center" indent="1"/>
    </xf>
    <xf numFmtId="165" fontId="11" fillId="10" borderId="1" applyAlignment="1" pivotButton="0" quotePrefix="0" xfId="0">
      <alignment horizontal="right" vertical="center"/>
    </xf>
    <xf numFmtId="0" fontId="11" fillId="10" borderId="1" applyAlignment="1" pivotButton="0" quotePrefix="0" xfId="0">
      <alignment horizontal="left" vertical="center" wrapText="1"/>
    </xf>
    <xf numFmtId="165" fontId="6" fillId="0" borderId="1" applyAlignment="1" pivotButton="0" quotePrefix="0" xfId="0">
      <alignment horizontal="right" vertical="center"/>
    </xf>
    <xf numFmtId="0" fontId="10" fillId="14" borderId="4" applyAlignment="1" pivotButton="0" quotePrefix="0" xfId="0">
      <alignment horizontal="left" vertical="center" indent="1"/>
    </xf>
    <xf numFmtId="165" fontId="10" fillId="14" borderId="1" applyAlignment="1" pivotButton="0" quotePrefix="0" xfId="0">
      <alignment horizontal="right" vertical="center"/>
    </xf>
    <xf numFmtId="0" fontId="8" fillId="14" borderId="0" applyAlignment="1" pivotButton="0" quotePrefix="0" xfId="0">
      <alignment horizontal="left" vertical="center" wrapText="1"/>
    </xf>
    <xf numFmtId="165" fontId="11" fillId="0" borderId="1" applyAlignment="1" pivotButton="0" quotePrefix="0" xfId="0">
      <alignment horizontal="right" vertical="center"/>
    </xf>
    <xf numFmtId="165" fontId="6" fillId="10" borderId="1" applyAlignment="1" pivotButton="0" quotePrefix="0" xfId="0">
      <alignment horizontal="right" vertical="center"/>
    </xf>
    <xf numFmtId="167" fontId="6" fillId="0" borderId="1" applyAlignment="1" pivotButton="0" quotePrefix="0" xfId="0">
      <alignment horizontal="right" vertical="center"/>
    </xf>
    <xf numFmtId="0" fontId="10" fillId="14" borderId="0" applyAlignment="1" pivotButton="0" quotePrefix="0" xfId="0">
      <alignment horizontal="left" vertical="center" indent="1"/>
    </xf>
    <xf numFmtId="164" fontId="10" fillId="14" borderId="1" applyAlignment="1" pivotButton="0" quotePrefix="0" xfId="0">
      <alignment horizontal="right" vertical="center"/>
    </xf>
    <xf numFmtId="0" fontId="9" fillId="0" borderId="0" pivotButton="0" quotePrefix="0" xfId="0"/>
    <xf numFmtId="167" fontId="6" fillId="0" borderId="0" applyAlignment="1" pivotButton="0" quotePrefix="0" xfId="0">
      <alignment horizontal="right" vertical="center"/>
    </xf>
    <xf numFmtId="167" fontId="10" fillId="0" borderId="0" applyAlignment="1" pivotButton="0" quotePrefix="0" xfId="0">
      <alignment horizontal="right" vertical="center"/>
    </xf>
    <xf numFmtId="167" fontId="6" fillId="10" borderId="0" applyAlignment="1" pivotButton="0" quotePrefix="0" xfId="0">
      <alignment horizontal="right" vertical="center"/>
    </xf>
    <xf numFmtId="167" fontId="10" fillId="10" borderId="0" applyAlignment="1" pivotButton="0" quotePrefix="0" xfId="0">
      <alignment horizontal="right" vertical="center"/>
    </xf>
    <xf numFmtId="164" fontId="6" fillId="0" borderId="0" applyAlignment="1" pivotButton="0" quotePrefix="0" xfId="0">
      <alignment horizontal="right" vertical="center"/>
    </xf>
    <xf numFmtId="164" fontId="10" fillId="0" borderId="0" applyAlignment="1" pivotButton="0" quotePrefix="0" xfId="0">
      <alignment horizontal="right" vertical="center"/>
    </xf>
    <xf numFmtId="164" fontId="6" fillId="10" borderId="0" applyAlignment="1" pivotButton="0" quotePrefix="0" xfId="0">
      <alignment horizontal="right" vertical="center"/>
    </xf>
    <xf numFmtId="164" fontId="10" fillId="10" borderId="0" applyAlignment="1" pivotButton="0" quotePrefix="0" xfId="0">
      <alignment horizontal="right" vertical="center"/>
    </xf>
    <xf numFmtId="165" fontId="6" fillId="0" borderId="0" applyAlignment="1" pivotButton="0" quotePrefix="0" xfId="0">
      <alignment horizontal="right" vertical="center"/>
    </xf>
    <xf numFmtId="166" fontId="6" fillId="0" borderId="0" applyAlignment="1" pivotButton="0" quotePrefix="0" xfId="0">
      <alignment horizontal="right" vertical="center"/>
    </xf>
    <xf numFmtId="168" fontId="6" fillId="0" borderId="0" applyAlignment="1" pivotButton="0" quotePrefix="0" xfId="0">
      <alignment horizontal="right" vertical="center"/>
    </xf>
  </cellXfs>
  <cellStyles count="1">
    <cellStyle name="Normal" xfId="0" builtinId="0" hidden="0"/>
  </cellStyles>
  <dxfs count="9">
    <dxf>
      <font>
        <name val="Calibri"/>
        <b val="1"/>
        <color rgb="002E7D32"/>
        <sz val="18"/>
      </font>
      <fill>
        <patternFill patternType="solid">
          <fgColor rgb="00C8E6C9"/>
        </patternFill>
      </fill>
    </dxf>
    <dxf>
      <font>
        <name val="Calibri"/>
        <b val="1"/>
        <color rgb="00C62828"/>
        <sz val="18"/>
      </font>
      <fill>
        <patternFill patternType="solid">
          <fgColor rgb="00FFCDD2"/>
        </patternFill>
      </fill>
    </dxf>
    <dxf>
      <font>
        <name val="Calibri"/>
        <b val="1"/>
        <color rgb="002E7D32"/>
        <sz val="12"/>
      </font>
    </dxf>
    <dxf>
      <font>
        <name val="Calibri"/>
        <b val="1"/>
        <color rgb="00C62828"/>
        <sz val="12"/>
      </font>
    </dxf>
    <dxf>
      <font>
        <name val="Calibri"/>
        <b val="1"/>
        <color rgb="00FFFFFF"/>
        <sz val="14"/>
      </font>
      <fill>
        <patternFill patternType="solid">
          <fgColor rgb="001E6F5C"/>
        </patternFill>
      </fill>
    </dxf>
    <dxf>
      <font>
        <name val="Calibri"/>
        <b val="1"/>
        <color rgb="00FFFFFF"/>
        <sz val="14"/>
      </font>
      <fill>
        <patternFill patternType="solid">
          <fgColor rgb="00C62828"/>
        </patternFill>
      </fill>
    </dxf>
    <dxf>
      <font>
        <name val="Calibri"/>
        <b val="1"/>
        <color rgb="00FFFFFF"/>
        <sz val="14"/>
      </font>
      <fill>
        <patternFill patternType="solid">
          <fgColor rgb="009E9E9E"/>
        </patternFill>
      </fill>
    </dxf>
    <dxf>
      <font>
        <name val="Calibri"/>
        <b val="1"/>
        <color rgb="002E7D32"/>
        <sz val="10"/>
      </font>
    </dxf>
    <dxf>
      <font>
        <name val="Calibri"/>
        <b val="1"/>
        <color rgb="00C6282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Калькулятор</author>
  </authors>
  <commentList>
    <comment ref="B26" authorId="0" shapeId="0">
      <text>
        <t>Способ разнесения накладных по типам оборудования.
labor — по трудозатратам (по умолчанию): тип, на который тратится больше часов, получает больше накладных.
units — по количеству устройств: пропорционально парку.
equal — поровну между активными типами.
На общий итог не влияет, меняет только разбивку по типам.</t>
      </text>
    </comment>
    <comment ref="B27" authorId="0" shapeId="0">
      <text>
        <t>Тариф контракта обычно указывается с НДС, а свои затраты считаются без НДС (для плательщика НДС входной НДС зачитывается). Сравнивать нужно в одной базе.
net (по умолчанию) — тариф ÷ (1+ставка), приводим контракт «к виду без НДС».
gross — свои × (1+ставка), приводим свои «к виду с НДС».
ignore — без преобразований.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0" customWidth="1" min="1" max="1"/>
    <col width="16" customWidth="1" min="2" max="2"/>
    <col width="16" customWidth="1" min="3" max="3"/>
    <col width="16" customWidth="1" min="4" max="4"/>
    <col width="36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40" customHeight="1">
      <c r="A1" s="1" t="inlineStr">
        <is>
          <t>📊 КАЛЬКУЛЯТОР ЗАТРАТ ПО ГОС КОНТРАКТУ</t>
        </is>
      </c>
      <c r="B1" s="2" t="n"/>
      <c r="C1" s="2" t="n"/>
      <c r="D1" s="2" t="n"/>
      <c r="E1" s="2" t="n"/>
    </row>
    <row r="2" ht="22" customHeight="1">
      <c r="A2" s="3" t="inlineStr">
        <is>
          <t>Сравнение собственных затрат и стоимости контракта на ИТ-обслуживание</t>
        </is>
      </c>
      <c r="B2" s="4" t="n"/>
      <c r="C2" s="4" t="n"/>
      <c r="D2" s="4" t="n"/>
      <c r="E2" s="4" t="n"/>
    </row>
    <row r="3" ht="22" customHeight="1">
      <c r="A3" s="5" t="inlineStr">
        <is>
          <t>Меняйте значения в жёлтых ячейках. Итог автоматически обновится на листе «Результат».</t>
        </is>
      </c>
      <c r="B3" s="6" t="n"/>
      <c r="C3" s="6" t="n"/>
      <c r="D3" s="6" t="n"/>
      <c r="E3" s="6" t="n"/>
    </row>
    <row r="5" ht="24" customHeight="1">
      <c r="A5" s="7" t="inlineStr">
        <is>
          <t>ОБОРУДОВАНИЕ</t>
        </is>
      </c>
      <c r="B5" s="8" t="n"/>
      <c r="C5" s="8" t="n"/>
      <c r="D5" s="8" t="n"/>
      <c r="E5" s="8" t="n"/>
    </row>
    <row r="6" ht="26" customHeight="1">
      <c r="A6" s="9" t="inlineStr">
        <is>
          <t>Параметр</t>
        </is>
      </c>
      <c r="B6" s="10" t="inlineStr">
        <is>
          <t>🖥 АРМ</t>
        </is>
      </c>
      <c r="C6" s="11" t="inlineStr">
        <is>
          <t>🗄 Серверы</t>
        </is>
      </c>
      <c r="D6" s="12" t="inlineStr">
        <is>
          <t>🖨 Принтеры</t>
        </is>
      </c>
      <c r="E6" s="13" t="inlineStr">
        <is>
          <t>Единица</t>
        </is>
      </c>
    </row>
    <row r="7" ht="20" customHeight="1">
      <c r="A7" s="14" t="inlineStr">
        <is>
          <t>Стоимость единицы</t>
        </is>
      </c>
      <c r="B7" s="15" t="n">
        <v>50000</v>
      </c>
      <c r="C7" s="15" t="n">
        <v>300000</v>
      </c>
      <c r="D7" s="15" t="n">
        <v>25000</v>
      </c>
      <c r="E7" s="16" t="inlineStr">
        <is>
          <t>₽</t>
        </is>
      </c>
    </row>
    <row r="8" ht="20" customHeight="1">
      <c r="A8" s="17" t="inlineStr">
        <is>
          <t>Срок службы</t>
        </is>
      </c>
      <c r="B8" s="18" t="n">
        <v>36</v>
      </c>
      <c r="C8" s="18" t="n">
        <v>60</v>
      </c>
      <c r="D8" s="18" t="n">
        <v>48</v>
      </c>
      <c r="E8" s="19" t="inlineStr">
        <is>
          <t>мес.</t>
        </is>
      </c>
    </row>
    <row r="9" ht="20" customHeight="1">
      <c r="A9" s="14" t="inlineStr">
        <is>
          <t>Частота отказов</t>
        </is>
      </c>
      <c r="B9" s="20" t="n">
        <v>2.4</v>
      </c>
      <c r="C9" s="20" t="n">
        <v>1</v>
      </c>
      <c r="D9" s="20" t="n">
        <v>1.8</v>
      </c>
      <c r="E9" s="16" t="inlineStr">
        <is>
          <t>инц/год на 1 устр.</t>
        </is>
      </c>
    </row>
    <row r="10" ht="20" customHeight="1">
      <c r="A10" s="17" t="inlineStr">
        <is>
          <t>Стоимость ЗИП на инцидент</t>
        </is>
      </c>
      <c r="B10" s="15" t="n">
        <v>2000</v>
      </c>
      <c r="C10" s="15" t="n">
        <v>15000</v>
      </c>
      <c r="D10" s="15" t="n">
        <v>3000</v>
      </c>
      <c r="E10" s="19" t="inlineStr">
        <is>
          <t>₽</t>
        </is>
      </c>
    </row>
    <row r="11" ht="20" customHeight="1">
      <c r="A11" s="14" t="inlineStr">
        <is>
          <t>Время на инцидент</t>
        </is>
      </c>
      <c r="B11" s="21" t="n">
        <v>2</v>
      </c>
      <c r="C11" s="21" t="n">
        <v>4</v>
      </c>
      <c r="D11" s="21" t="n">
        <v>1.5</v>
      </c>
      <c r="E11" s="16" t="inlineStr">
        <is>
          <t>ч</t>
        </is>
      </c>
    </row>
    <row r="12" ht="20" customHeight="1">
      <c r="A12" s="17" t="inlineStr">
        <is>
          <t>Время одной профилактики</t>
        </is>
      </c>
      <c r="B12" s="21" t="n">
        <v>1</v>
      </c>
      <c r="C12" s="21" t="n">
        <v>2</v>
      </c>
      <c r="D12" s="21" t="n">
        <v>0.5</v>
      </c>
      <c r="E12" s="19" t="inlineStr">
        <is>
          <t>ч (ежемесячно на парк)</t>
        </is>
      </c>
    </row>
    <row r="13" ht="20" customHeight="1">
      <c r="A13" s="14" t="inlineStr">
        <is>
          <t>% охвата профилактикой</t>
        </is>
      </c>
      <c r="B13" s="18" t="n">
        <v>100</v>
      </c>
      <c r="C13" s="18" t="n">
        <v>100</v>
      </c>
      <c r="D13" s="18" t="n">
        <v>100</v>
      </c>
      <c r="E13" s="16" t="inlineStr">
        <is>
          <t>% (исключения)</t>
        </is>
      </c>
    </row>
    <row r="14" ht="20" customHeight="1">
      <c r="A14" s="17" t="inlineStr">
        <is>
          <t>Доля выездов от инцидентов</t>
        </is>
      </c>
      <c r="B14" s="20" t="n">
        <v>0.3</v>
      </c>
      <c r="C14" s="20" t="n">
        <v>0.5</v>
      </c>
      <c r="D14" s="20" t="n">
        <v>0.4</v>
      </c>
      <c r="E14" s="19" t="inlineStr">
        <is>
          <t>0–1</t>
        </is>
      </c>
    </row>
    <row r="15" ht="20" customHeight="1">
      <c r="A15" s="14" t="inlineStr">
        <is>
          <t>Инцидентов на 1 выезд</t>
        </is>
      </c>
      <c r="B15" s="21" t="n">
        <v>1</v>
      </c>
      <c r="C15" s="21" t="n">
        <v>1</v>
      </c>
      <c r="D15" s="21" t="n">
        <v>1.5</v>
      </c>
      <c r="E15" s="16" t="inlineStr"/>
    </row>
    <row r="16" ht="20" customHeight="1">
      <c r="A16" s="17" t="inlineStr">
        <is>
          <t>Количество устройств</t>
        </is>
      </c>
      <c r="B16" s="18" t="n">
        <v>12000</v>
      </c>
      <c r="C16" s="18" t="n">
        <v>200</v>
      </c>
      <c r="D16" s="18" t="n">
        <v>500</v>
      </c>
      <c r="E16" s="19" t="inlineStr">
        <is>
          <t>шт.</t>
        </is>
      </c>
    </row>
    <row r="17" ht="20" customHeight="1">
      <c r="A17" s="14" t="inlineStr">
        <is>
          <t>Тариф по контракту</t>
        </is>
      </c>
      <c r="B17" s="15" t="n">
        <v>250</v>
      </c>
      <c r="C17" s="15" t="n">
        <v>1500</v>
      </c>
      <c r="D17" s="15" t="n">
        <v>120</v>
      </c>
      <c r="E17" s="16" t="inlineStr">
        <is>
          <t>₽/мес/ед (с НДС)</t>
        </is>
      </c>
    </row>
    <row r="19" ht="24" customHeight="1">
      <c r="A19" s="7" t="inlineStr">
        <is>
          <t>ОБЩИЕ ПАРАМЕТРЫ</t>
        </is>
      </c>
      <c r="B19" s="8" t="n"/>
      <c r="C19" s="8" t="n"/>
      <c r="D19" s="8" t="n"/>
      <c r="E19" s="8" t="n"/>
    </row>
    <row r="20" ht="20" customHeight="1">
      <c r="A20" s="14" t="inlineStr">
        <is>
          <t>Полная ставка инженера — АРМ</t>
        </is>
      </c>
      <c r="B20" s="15" t="n">
        <v>1000</v>
      </c>
      <c r="E20" s="16" t="inlineStr">
        <is>
          <t>₽/ч (ФОТ + налоги + соцпакет ÷ часы)</t>
        </is>
      </c>
    </row>
    <row r="21" ht="20" customHeight="1">
      <c r="A21" s="17" t="inlineStr">
        <is>
          <t>Полная ставка инженера — Серверы</t>
        </is>
      </c>
      <c r="B21" s="15" t="n">
        <v>1500</v>
      </c>
      <c r="E21" s="19" t="inlineStr">
        <is>
          <t>₽/ч</t>
        </is>
      </c>
    </row>
    <row r="22" ht="20" customHeight="1">
      <c r="A22" s="14" t="inlineStr">
        <is>
          <t>Полная ставка инженера — Принтеры</t>
        </is>
      </c>
      <c r="B22" s="15" t="n">
        <v>800</v>
      </c>
      <c r="E22" s="16" t="inlineStr">
        <is>
          <t>₽/ч</t>
        </is>
      </c>
    </row>
    <row r="23" ht="20" customHeight="1">
      <c r="A23" s="17" t="inlineStr">
        <is>
          <t>Рабочих дней в месяце</t>
        </is>
      </c>
      <c r="B23" s="18" t="n">
        <v>22</v>
      </c>
      <c r="E23" s="19" t="inlineStr"/>
    </row>
    <row r="24" ht="20" customHeight="1">
      <c r="A24" s="14" t="inlineStr">
        <is>
          <t>Транспортные расходы</t>
        </is>
      </c>
      <c r="B24" s="22">
        <f>CAR_DAILY_RATE</f>
        <v/>
      </c>
      <c r="E24" s="16" t="inlineStr">
        <is>
          <t>₽/выезд (расчёт = стоимости 1 авто/день)</t>
        </is>
      </c>
    </row>
    <row r="25" ht="20" customHeight="1">
      <c r="A25" s="17" t="inlineStr">
        <is>
          <t>Накладные расходы</t>
        </is>
      </c>
      <c r="B25" s="15" t="n">
        <v>100000</v>
      </c>
      <c r="E25" s="19" t="inlineStr">
        <is>
          <t>₽/мес — офис, ПО, управление и пр.</t>
        </is>
      </c>
    </row>
    <row r="26" ht="20" customHeight="1">
      <c r="A26" s="14" t="inlineStr">
        <is>
          <t>Метод распределения накладных</t>
        </is>
      </c>
      <c r="B26" s="23" t="inlineStr">
        <is>
          <t>labor</t>
        </is>
      </c>
      <c r="E26" s="16" t="inlineStr">
        <is>
          <t>labor = по труду / units = по количеству / equal = поровну</t>
        </is>
      </c>
    </row>
    <row r="27" ht="20" customHeight="1">
      <c r="A27" s="17" t="inlineStr">
        <is>
          <t>Режим НДС</t>
        </is>
      </c>
      <c r="B27" s="23" t="inlineStr">
        <is>
          <t>net</t>
        </is>
      </c>
      <c r="E27" s="19" t="inlineStr">
        <is>
          <t>net = тариф очистить от НДС / gross = свои добавить НДС / ignore = не учитывать</t>
        </is>
      </c>
    </row>
    <row r="28" ht="20" customHeight="1">
      <c r="A28" s="14" t="inlineStr">
        <is>
          <t>Ставка НДС</t>
        </is>
      </c>
      <c r="B28" s="18" t="n">
        <v>20</v>
      </c>
      <c r="E28" s="16" t="inlineStr">
        <is>
          <t>% (число без знака)</t>
        </is>
      </c>
    </row>
    <row r="29" ht="20" customHeight="1">
      <c r="A29" s="17" t="inlineStr">
        <is>
          <t>Скидка за объём — порог</t>
        </is>
      </c>
      <c r="B29" s="18" t="n">
        <v>10000</v>
      </c>
      <c r="E29" s="19" t="inlineStr">
        <is>
          <t>устр.</t>
        </is>
      </c>
    </row>
    <row r="30" ht="20" customHeight="1">
      <c r="A30" s="14" t="inlineStr">
        <is>
          <t>Скидка за объём — процент</t>
        </is>
      </c>
      <c r="B30" s="21" t="n">
        <v>5</v>
      </c>
      <c r="E30" s="16" t="inlineStr">
        <is>
          <t>% (применяется к переменным)</t>
        </is>
      </c>
    </row>
    <row r="31" ht="20" customHeight="1">
      <c r="A31" s="17" t="inlineStr">
        <is>
          <t>Коэффициент риска / маржи</t>
        </is>
      </c>
      <c r="B31" s="20" t="n">
        <v>1</v>
      </c>
      <c r="E31" s="19" t="inlineStr">
        <is>
          <t>0.9 / 1.0 / 1.1 — только переменные</t>
        </is>
      </c>
    </row>
    <row r="32" ht="20" customHeight="1">
      <c r="A32" s="14" t="inlineStr">
        <is>
          <t>Период расчёта</t>
        </is>
      </c>
      <c r="B32" s="18" t="n">
        <v>12</v>
      </c>
      <c r="E32" s="16" t="inlineStr">
        <is>
          <t>мес.</t>
        </is>
      </c>
    </row>
    <row r="33" ht="20" customHeight="1">
      <c r="A33" s="17" t="inlineStr">
        <is>
          <t>Стоимость 1 автомобиля (₽/день)</t>
        </is>
      </c>
      <c r="B33" s="15" t="n">
        <v>3000</v>
      </c>
      <c r="E33" s="19" t="inlineStr">
        <is>
          <t>ФОТ водителя/день + амортизация, топливо, страховка</t>
        </is>
      </c>
    </row>
    <row r="34" ht="24" customHeight="1">
      <c r="A34" s="7" t="inlineStr">
        <is>
          <t>ПИКОВЫЕ МЕСЯЦЫ — КОЭФФИЦИЕНТ ПИКА ИНЦИДЕНТОВ ПО МЕСЯЦАМ</t>
        </is>
      </c>
      <c r="B34" s="8" t="n"/>
      <c r="C34" s="8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</row>
    <row r="35" ht="22" customHeight="1">
      <c r="A35" s="9" t="inlineStr">
        <is>
          <t>Месяц</t>
        </is>
      </c>
      <c r="B35" s="13" t="inlineStr">
        <is>
          <t>Янв</t>
        </is>
      </c>
      <c r="C35" s="13" t="inlineStr">
        <is>
          <t>Фев</t>
        </is>
      </c>
      <c r="D35" s="13" t="inlineStr">
        <is>
          <t>Мар</t>
        </is>
      </c>
      <c r="E35" s="13" t="inlineStr">
        <is>
          <t>Апр</t>
        </is>
      </c>
      <c r="F35" s="13" t="inlineStr">
        <is>
          <t>Май</t>
        </is>
      </c>
      <c r="G35" s="13" t="inlineStr">
        <is>
          <t>Июн</t>
        </is>
      </c>
      <c r="H35" s="13" t="inlineStr">
        <is>
          <t>Июл</t>
        </is>
      </c>
      <c r="I35" s="13" t="inlineStr">
        <is>
          <t>Авг</t>
        </is>
      </c>
      <c r="J35" s="13" t="inlineStr">
        <is>
          <t>Сен</t>
        </is>
      </c>
      <c r="K35" s="13" t="inlineStr">
        <is>
          <t>Окт</t>
        </is>
      </c>
      <c r="L35" s="13" t="inlineStr">
        <is>
          <t>Ноя</t>
        </is>
      </c>
      <c r="M35" s="13" t="inlineStr">
        <is>
          <t>Дек</t>
        </is>
      </c>
    </row>
    <row r="36" ht="22" customHeight="1">
      <c r="A36" s="14" t="inlineStr">
        <is>
          <t>Коэффициент пика K</t>
        </is>
      </c>
      <c r="B36" s="20" t="n">
        <v>1</v>
      </c>
      <c r="C36" s="20" t="n">
        <v>1</v>
      </c>
      <c r="D36" s="20" t="n">
        <v>1</v>
      </c>
      <c r="E36" s="20" t="n">
        <v>1</v>
      </c>
      <c r="F36" s="20" t="n">
        <v>1</v>
      </c>
      <c r="G36" s="20" t="n">
        <v>1</v>
      </c>
      <c r="H36" s="20" t="n">
        <v>1</v>
      </c>
      <c r="I36" s="20" t="n">
        <v>1</v>
      </c>
      <c r="J36" s="20" t="n">
        <v>1</v>
      </c>
      <c r="K36" s="20" t="n">
        <v>1</v>
      </c>
      <c r="L36" s="20" t="n">
        <v>1</v>
      </c>
      <c r="M36" s="20" t="n">
        <v>1</v>
      </c>
    </row>
    <row r="37" ht="30" customHeight="1">
      <c r="A37" s="16" t="inlineStr">
        <is>
          <t>K=1 — обычный месяц. Для пиковых месяцев (например, декабрь–февраль) увеличьте коэффициент: K=2 значит, что инцидентов в этот месяц в 2 раза больше среднего.</t>
        </is>
      </c>
    </row>
    <row r="39" ht="30" customHeight="1">
      <c r="A39" s="16" t="inlineStr">
        <is>
          <t>Профилактика выполняется ежемесячно на всём парке; параметр «% охвата» — это исключения (например, 70 = только 70 % АРМ).</t>
        </is>
      </c>
    </row>
  </sheetData>
  <mergeCells count="8">
    <mergeCell ref="A37:M37"/>
    <mergeCell ref="A2:E2"/>
    <mergeCell ref="A34:M34"/>
    <mergeCell ref="A19:E19"/>
    <mergeCell ref="A1:E1"/>
    <mergeCell ref="A5:E5"/>
    <mergeCell ref="A39:M39"/>
    <mergeCell ref="A3:E3"/>
  </mergeCells>
  <dataValidations count="2">
    <dataValidation sqref="B26" showDropDown="0" showInputMessage="1" showErrorMessage="1" allowBlank="0" errorTitle="Недопустимое значение" error="Введите units, labor или equal" promptTitle="Метод распределения накладных" prompt="labor — пропорционально трудозатратам (по умолчанию)&#10;units — пропорционально количеству устройств&#10;equal — поровну между активными типами" type="list">
      <formula1>"units,labor,equal"</formula1>
    </dataValidation>
    <dataValidation sqref="B27" showDropDown="0" showInputMessage="1" showErrorMessage="1" allowBlank="0" errorTitle="Недопустимое значение" error="Введите net, gross или ignore" promptTitle="Режим НДС" prompt="net — тариф очищается от НДС, сравнивается со своими без НДС&#10;      (выбирайте если вы плательщик НДС)&#10;gross — свои затраты × (1+НДС), сравнивается с тарифом с НДС&#10;      (выбирайте если вы НЕ плательщик НДС — УСН, физлицо)&#10;ignore — никаких преобразований" type="list">
      <formula1>"net,gross,ignore"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0" customWidth="1" min="1" max="1"/>
    <col width="22" customWidth="1" min="2" max="2"/>
    <col width="18" customWidth="1" min="3" max="3"/>
    <col width="18" customWidth="1" min="4" max="4"/>
    <col width="38" customWidth="1" min="5" max="5"/>
  </cols>
  <sheetData>
    <row r="1" ht="40" customHeight="1">
      <c r="A1" s="1" t="inlineStr">
        <is>
          <t>📊 РЕЗУЛЬТАТ РАСЧЁТА</t>
        </is>
      </c>
      <c r="B1" s="2" t="n"/>
      <c r="C1" s="2" t="n"/>
      <c r="D1" s="2" t="n"/>
      <c r="E1" s="2" t="n"/>
    </row>
    <row r="2" ht="22" customHeight="1">
      <c r="A2" s="3" t="inlineStr">
        <is>
          <t>Сводка по периоду и детализация по типам оборудования</t>
        </is>
      </c>
      <c r="B2" s="4" t="n"/>
      <c r="C2" s="4" t="n"/>
      <c r="D2" s="4" t="n"/>
      <c r="E2" s="4" t="n"/>
    </row>
    <row r="3" ht="22" customHeight="1">
      <c r="A3" s="24" t="inlineStr">
        <is>
          <t>Период расчёта</t>
        </is>
      </c>
      <c r="B3" s="25">
        <f>PERIOD&amp;" мес."</f>
        <v/>
      </c>
      <c r="C3" s="26">
        <f>IF(VAT_MODE="net","НДС: тариф очищен от НДС",IF(VAT_MODE="gross","НДС: свои приведены к с НДС","НДС: не учитывается"))</f>
        <v/>
      </c>
      <c r="D3" s="6" t="n"/>
      <c r="E3" s="6" t="n"/>
    </row>
    <row r="5" ht="24" customHeight="1">
      <c r="A5" s="7" t="inlineStr">
        <is>
          <t>СВОДКА</t>
        </is>
      </c>
      <c r="B5" s="8" t="n"/>
      <c r="C5" s="8" t="n"/>
      <c r="D5" s="8" t="n"/>
      <c r="E5" s="8" t="n"/>
    </row>
    <row r="6" ht="38" customHeight="1">
      <c r="A6" s="27" t="inlineStr">
        <is>
          <t>🛠 Затраты на обслуживание</t>
        </is>
      </c>
      <c r="B6" s="28">
        <f>Расчёты!E27</f>
        <v/>
      </c>
      <c r="C6" s="29" t="inlineStr">
        <is>
          <t>₽ за период</t>
        </is>
      </c>
      <c r="E6" s="30" t="inlineStr">
        <is>
          <t>Амортизация + ФОТ + ЗИП + транспорт + накладные, с учётом скидки/риска</t>
        </is>
      </c>
    </row>
    <row r="7" ht="38" customHeight="1">
      <c r="A7" s="31" t="inlineStr">
        <is>
          <t>📋 По контракту</t>
        </is>
      </c>
      <c r="B7" s="32">
        <f>Расчёты!E28</f>
        <v/>
      </c>
      <c r="C7" s="33" t="inlineStr">
        <is>
          <t>₽ за период</t>
        </is>
      </c>
      <c r="E7" s="34" t="inlineStr">
        <is>
          <t>Тариф × количество × период, приведено к выбранной базе НДС</t>
        </is>
      </c>
    </row>
    <row r="8" ht="38" customHeight="1">
      <c r="A8" s="35" t="inlineStr">
        <is>
          <t>📊 Финансовый результат</t>
        </is>
      </c>
      <c r="B8" s="36">
        <f>B7-B6</f>
        <v/>
      </c>
      <c r="C8" s="37">
        <f>IF(B7&gt;0,(B7-B6)/B7,0)</f>
        <v/>
      </c>
      <c r="D8" s="38" t="inlineStr">
        <is>
          <t>отклонение</t>
        </is>
      </c>
      <c r="E8" s="39">
        <f>IF(B6=0,"-",IF(B7&lt;B6,"Контракт выгоднее работ","Контракт дороже работ"))</f>
        <v/>
      </c>
    </row>
    <row r="9" ht="32" customHeight="1">
      <c r="A9" s="40">
        <f>IF(B6=0,"Введите количество устройств",IF(B6&gt;B7,"Затраты на обслуживание ВЫШЕ стоимости контракта на "&amp;TEXT(ROUND((B6-B7)/B7*100,1),"0.0")&amp;" %","Затраты на обслуживание НИЖЕ стоимости контракта на "&amp;TEXT(ROUND((B7-B6)/B7*100,1),"0.0")&amp;" %"))</f>
        <v/>
      </c>
    </row>
    <row r="11" ht="24" customHeight="1">
      <c r="A11" s="7" t="inlineStr">
        <is>
          <t>ДЕТАЛИЗАЦИЯ ПО ТИПАМ (за период)</t>
        </is>
      </c>
      <c r="B11" s="8" t="n"/>
      <c r="C11" s="8" t="n"/>
      <c r="D11" s="8" t="n"/>
      <c r="E11" s="8" t="n"/>
    </row>
    <row r="12" ht="22" customHeight="1">
      <c r="A12" s="9" t="inlineStr">
        <is>
          <t>Показатель</t>
        </is>
      </c>
      <c r="B12" s="10" t="inlineStr">
        <is>
          <t>🖥 АРМ</t>
        </is>
      </c>
      <c r="C12" s="11" t="inlineStr">
        <is>
          <t>🗄 Серверы</t>
        </is>
      </c>
      <c r="D12" s="12" t="inlineStr">
        <is>
          <t>🖨 Принтеры</t>
        </is>
      </c>
      <c r="E12" s="13" t="inlineStr">
        <is>
          <t>ИТОГО</t>
        </is>
      </c>
    </row>
    <row r="13">
      <c r="A13" s="14" t="inlineStr">
        <is>
          <t>Количество устройств</t>
        </is>
      </c>
      <c r="B13" s="41">
        <f>Параметры!B16</f>
        <v/>
      </c>
      <c r="C13" s="41">
        <f>Параметры!C16</f>
        <v/>
      </c>
      <c r="D13" s="41">
        <f>Параметры!D16</f>
        <v/>
      </c>
      <c r="E13" s="42">
        <f>SUM(B13:D13)</f>
        <v/>
      </c>
    </row>
    <row r="14">
      <c r="A14" s="17" t="inlineStr">
        <is>
          <t>Затраты на обслуживание</t>
        </is>
      </c>
      <c r="B14" s="43">
        <f>Расчёты!B27</f>
        <v/>
      </c>
      <c r="C14" s="43">
        <f>Расчёты!C27</f>
        <v/>
      </c>
      <c r="D14" s="43">
        <f>Расчёты!D27</f>
        <v/>
      </c>
      <c r="E14" s="44">
        <f>Расчёты!E27</f>
        <v/>
      </c>
    </row>
    <row r="15">
      <c r="A15" s="14" t="inlineStr">
        <is>
          <t>По контракту</t>
        </is>
      </c>
      <c r="B15" s="45">
        <f>Расчёты!B28</f>
        <v/>
      </c>
      <c r="C15" s="45">
        <f>Расчёты!C28</f>
        <v/>
      </c>
      <c r="D15" s="45">
        <f>Расчёты!D28</f>
        <v/>
      </c>
      <c r="E15" s="46">
        <f>Расчёты!E28</f>
        <v/>
      </c>
    </row>
    <row r="16" ht="22" customHeight="1">
      <c r="A16" s="47" t="inlineStr">
        <is>
          <t>Финансовый результат (контракт − затраты на обслуживание)</t>
        </is>
      </c>
      <c r="B16" s="48">
        <f>B15-B14</f>
        <v/>
      </c>
      <c r="C16" s="48">
        <f>C15-C14</f>
        <v/>
      </c>
      <c r="D16" s="48">
        <f>D15-D14</f>
        <v/>
      </c>
      <c r="E16" s="49">
        <f>E15-E14</f>
        <v/>
      </c>
    </row>
    <row r="18" ht="24" customHeight="1">
      <c r="A18" s="7" t="inlineStr">
        <is>
          <t>СТРУКТУРА ЗАТРАТ (помесячно, без учёта НДС-приведения)</t>
        </is>
      </c>
      <c r="B18" s="8" t="n"/>
      <c r="C18" s="8" t="n"/>
      <c r="D18" s="8" t="n"/>
      <c r="E18" s="8" t="n"/>
    </row>
    <row r="19" ht="22" customHeight="1">
      <c r="A19" s="9" t="inlineStr">
        <is>
          <t>Статья</t>
        </is>
      </c>
      <c r="B19" s="13" t="inlineStr">
        <is>
          <t>Сумма</t>
        </is>
      </c>
      <c r="E19" s="13" t="inlineStr">
        <is>
          <t>Комментарий</t>
        </is>
      </c>
    </row>
    <row r="20" ht="20" customHeight="1">
      <c r="A20" s="14" t="inlineStr">
        <is>
          <t>Амортизация</t>
        </is>
      </c>
      <c r="B20" s="50">
        <f>Расчёты!E13</f>
        <v/>
      </c>
      <c r="E20" s="16" t="inlineStr">
        <is>
          <t>(стоимость ÷ срок службы) × количество</t>
        </is>
      </c>
    </row>
    <row r="21" ht="20" customHeight="1">
      <c r="A21" s="17" t="inlineStr">
        <is>
          <t>ЗИП</t>
        </is>
      </c>
      <c r="B21" s="51">
        <f>Расчёты!E10*Расчёты!B18*RISK_K</f>
        <v/>
      </c>
      <c r="E21" s="19" t="inlineStr">
        <is>
          <t>инциденты × стоимость ЗИП × discount × risk</t>
        </is>
      </c>
    </row>
    <row r="22" ht="20" customHeight="1">
      <c r="A22" s="14" t="inlineStr">
        <is>
          <t>ФОТ на инциденты</t>
        </is>
      </c>
      <c r="B22" s="50">
        <f>Расчёты!E11*Расчёты!B18*RISK_K</f>
        <v/>
      </c>
      <c r="E22" s="16" t="inlineStr">
        <is>
          <t>часы инцидентов × ставка × discount × risk</t>
        </is>
      </c>
    </row>
    <row r="23" ht="20" customHeight="1">
      <c r="A23" s="17" t="inlineStr">
        <is>
          <t>ФОТ на профилактику</t>
        </is>
      </c>
      <c r="B23" s="51">
        <f>Расчёты!E12*Расчёты!B18*RISK_K</f>
        <v/>
      </c>
      <c r="E23" s="19" t="inlineStr">
        <is>
          <t>часы профилактики × ставка × discount × risk</t>
        </is>
      </c>
    </row>
    <row r="24" ht="20" customHeight="1">
      <c r="A24" s="14" t="inlineStr">
        <is>
          <t>Транспорт</t>
        </is>
      </c>
      <c r="B24" s="50">
        <f>(Расчёты!E9+ROUNDUP(IFERROR(Расчёты!E7/(WD*8),0),0)*WD*CAR_DAILY_RATE)*Расчёты!B18*RISK_K</f>
        <v/>
      </c>
      <c r="E24" s="16" t="inlineStr">
        <is>
          <t>(инциденты + профилактика: ceil(FTE)×рабдней) × ставка × discount × risk</t>
        </is>
      </c>
    </row>
    <row r="25" ht="20" customHeight="1">
      <c r="A25" s="17" t="inlineStr">
        <is>
          <t>Накладные</t>
        </is>
      </c>
      <c r="B25" s="51">
        <f>Расчёты!E22</f>
        <v/>
      </c>
      <c r="E25" s="19">
        <f>CONCATENATE("распределено: ",OVH_METHOD)</f>
        <v/>
      </c>
    </row>
    <row r="26" ht="24" customHeight="1">
      <c r="A26" s="52" t="inlineStr">
        <is>
          <t>ИТОГО, ₽/мес</t>
        </is>
      </c>
      <c r="B26" s="49">
        <f>SUM(B20:B25)</f>
        <v/>
      </c>
      <c r="E26" s="53" t="n"/>
    </row>
    <row r="28" ht="24" customHeight="1">
      <c r="A28" s="7" t="inlineStr">
        <is>
          <t>ТОЧКА БЕЗУБЫТОЧНОСТИ ПО ОБЪЁМУ</t>
        </is>
      </c>
      <c r="B28" s="8" t="n"/>
      <c r="C28" s="8" t="n"/>
      <c r="D28" s="8" t="n"/>
      <c r="E28" s="8" t="n"/>
    </row>
    <row r="29" ht="32" customHeight="1">
      <c r="A29" s="16" t="inlineStr">
        <is>
          <t>При каком количестве устройств свои затраты сравниваются со стоимостью контракта (при текущих тарифах, скидке и распределении накладных).</t>
        </is>
      </c>
    </row>
    <row r="30" ht="22" customHeight="1">
      <c r="A30" s="9" t="inlineStr">
        <is>
          <t>Показатель</t>
        </is>
      </c>
      <c r="B30" s="10" t="inlineStr">
        <is>
          <t>🖥 АРМ</t>
        </is>
      </c>
      <c r="C30" s="11" t="inlineStr">
        <is>
          <t>🗄 Серверы</t>
        </is>
      </c>
      <c r="D30" s="12" t="inlineStr">
        <is>
          <t>🖨 Принтеры</t>
        </is>
      </c>
    </row>
    <row r="31">
      <c r="A31" s="14" t="inlineStr">
        <is>
          <t>Текущий объём (ед.)</t>
        </is>
      </c>
      <c r="B31" s="41">
        <f>Параметры!B16</f>
        <v/>
      </c>
      <c r="C31" s="41">
        <f>Параметры!C16</f>
        <v/>
      </c>
      <c r="D31" s="41">
        <f>Параметры!D16</f>
        <v/>
      </c>
    </row>
    <row r="32">
      <c r="A32" s="17" t="inlineStr">
        <is>
          <t>Тариф, ₽/мес/ед</t>
        </is>
      </c>
      <c r="B32" s="43">
        <f>Параметры!B17</f>
        <v/>
      </c>
      <c r="C32" s="43">
        <f>Параметры!C17</f>
        <v/>
      </c>
      <c r="D32" s="43">
        <f>Параметры!D17</f>
        <v/>
      </c>
    </row>
    <row r="33">
      <c r="A33" s="54" t="inlineStr">
        <is>
          <t>Затраты на работы на ед., ₽/мес</t>
        </is>
      </c>
      <c r="B33" s="55">
        <f>Расчёты!B29</f>
        <v/>
      </c>
      <c r="C33" s="55">
        <f>Расчёты!C29</f>
        <v/>
      </c>
      <c r="D33" s="55">
        <f>Расчёты!D29</f>
        <v/>
      </c>
    </row>
    <row r="34">
      <c r="A34" s="56" t="inlineStr">
        <is>
          <t>Безубыточный объём (ед.)</t>
        </is>
      </c>
      <c r="B34" s="57">
        <f>IF(Расчёты!B29&gt;0.0001,ROUND(Расчёты!B30/Расчёты!B29,0),"—")</f>
        <v/>
      </c>
      <c r="C34" s="57">
        <f>IF(Расчёты!C29&gt;0.0001,ROUND(Расчёты!C30/Расчёты!C29,0),"—")</f>
        <v/>
      </c>
      <c r="D34" s="57">
        <f>IF(Расчёты!D29&gt;0.0001,ROUND(Расчёты!D30/Расчёты!D29,0),"—")</f>
        <v/>
      </c>
    </row>
    <row r="35" ht="32" customHeight="1">
      <c r="A35" s="17" t="inlineStr">
        <is>
          <t>Рекомендации</t>
        </is>
      </c>
      <c r="B35" s="58">
        <f>IF(Параметры!B17=0,"тариф не задан",IF(Расчёты!B29&gt;Параметры!B17,"Затраты на ед. больше тарифа на "&amp;TEXT(ROUND((Расчёты!B29/Параметры!B17-1)*100,1),"0.0")&amp;" %",IF(Расчёты!B29&lt;Параметры!B17,"Затраты на ед. меньше тарифа на "&amp;TEXT(ROUND((1-Расчёты!B29/Параметры!B17)*100,1),"0.0")&amp;" %","Затраты ≈ тариф")))</f>
        <v/>
      </c>
      <c r="C35" s="58">
        <f>IF(Параметры!C17=0,"тариф не задан",IF(Расчёты!C29&gt;Параметры!C17,"Затраты на ед. больше тарифа на "&amp;TEXT(ROUND((Расчёты!C29/Параметры!C17-1)*100,1),"0.0")&amp;" %",IF(Расчёты!C29&lt;Параметры!C17,"Затраты на ед. меньше тарифа на "&amp;TEXT(ROUND((1-Расчёты!C29/Параметры!C17)*100,1),"0.0")&amp;" %","Затраты ≈ тариф")))</f>
        <v/>
      </c>
      <c r="D35" s="58">
        <f>IF(Параметры!D17=0,"тариф не задан",IF(Расчёты!D29&gt;Параметры!D17,"Затраты на ед. больше тарифа на "&amp;TEXT(ROUND((Расчёты!D29/Параметры!D17-1)*100,1),"0.0")&amp;" %",IF(Расчёты!D29&lt;Параметры!D17,"Затраты на ед. меньше тарифа на "&amp;TEXT(ROUND((1-Расчёты!D29/Параметры!D17)*100,1),"0.0")&amp;" %","Затраты ≈ тариф")))</f>
        <v/>
      </c>
    </row>
    <row r="37" ht="24" customHeight="1">
      <c r="A37" s="7" t="inlineStr">
        <is>
          <t>ШТАТ (FTE)</t>
        </is>
      </c>
      <c r="B37" s="8" t="n"/>
      <c r="C37" s="8" t="n"/>
      <c r="D37" s="8" t="n"/>
      <c r="E37" s="8" t="n"/>
    </row>
    <row r="38" ht="22" customHeight="1">
      <c r="A38" s="14" t="inlineStr">
        <is>
          <t>Часов на сотрудника в месяц</t>
        </is>
      </c>
      <c r="B38" s="59">
        <f>WD*8</f>
        <v/>
      </c>
      <c r="E38" s="16" t="inlineStr">
        <is>
          <t>рабочих дней × 8 ч</t>
        </is>
      </c>
    </row>
    <row r="39" ht="22" customHeight="1">
      <c r="A39" s="60" t="inlineStr">
        <is>
          <t>👥 Общий штат</t>
        </is>
      </c>
      <c r="B39" s="61">
        <f>IFERROR(ROUNDUP((Расчёты!E6+Расчёты!E7)/B38,0),0)</f>
        <v/>
      </c>
      <c r="E39" s="62" t="inlineStr">
        <is>
          <t>FTE — суммарно по всему парку (округлено вверх)</t>
        </is>
      </c>
    </row>
    <row r="40" ht="22" customHeight="1">
      <c r="A40" s="54" t="inlineStr">
        <is>
          <t>🧹 На профилактику</t>
        </is>
      </c>
      <c r="B40" s="63">
        <f>IFERROR(ROUNDUP(Расчёты!E7/B38,0),0)</f>
        <v/>
      </c>
      <c r="E40" s="16" t="inlineStr">
        <is>
          <t>часы профилактики ÷ часы сотрудника (вверх)</t>
        </is>
      </c>
    </row>
    <row r="41" ht="22" customHeight="1">
      <c r="A41" s="56" t="inlineStr">
        <is>
          <t>🛠 На инциденты</t>
        </is>
      </c>
      <c r="B41" s="57">
        <f>IFERROR(ROUNDUP(Расчёты!E6/B38,0),0)</f>
        <v/>
      </c>
      <c r="E41" s="19" t="inlineStr">
        <is>
          <t>часы инцидентов ÷ часы сотрудника (вверх)</t>
        </is>
      </c>
    </row>
    <row r="42" ht="22" customHeight="1">
      <c r="A42" s="54" t="inlineStr">
        <is>
          <t>🎯 Пиковая нагрузка</t>
        </is>
      </c>
      <c r="B42" s="63">
        <f>IFERROR(ROUNDUP((Расчёты!E6*MAX(PEAK_RANGE)+Расчёты!E7)/B38,0),0)</f>
        <v/>
      </c>
      <c r="E42" s="16" t="inlineStr">
        <is>
          <t>пиковый месяц: инциденты × max(K) + профилактика</t>
        </is>
      </c>
    </row>
    <row r="43" ht="22" customHeight="1">
      <c r="A43" s="56" t="inlineStr">
        <is>
          <t>📅 Средний по году</t>
        </is>
      </c>
      <c r="B43" s="57">
        <f>IFERROR(ROUNDUP((Расчёты!E6*AVERAGE(PEAK_RANGE)+Расчёты!E7)/B38,0),0)</f>
        <v/>
      </c>
      <c r="E43" s="19" t="inlineStr">
        <is>
          <t>с учётом среднего K по 12 месяцам</t>
        </is>
      </c>
    </row>
    <row r="44" ht="22" customHeight="1">
      <c r="A44" s="14" t="inlineStr">
        <is>
          <t>📦 Инцидентов в месяц</t>
        </is>
      </c>
      <c r="B44" s="59">
        <f>ROUNDUP(Расчёты!E5,0)</f>
        <v/>
      </c>
      <c r="E44" s="16" t="inlineStr">
        <is>
          <t>округлено вверх</t>
        </is>
      </c>
    </row>
    <row r="45" ht="22" customHeight="1">
      <c r="A45" s="17" t="inlineStr">
        <is>
          <t>🚗 Выездов в месяц</t>
        </is>
      </c>
      <c r="B45" s="64">
        <f>ROUNDUP(Расчёты!E8,0)</f>
        <v/>
      </c>
      <c r="E45" s="19" t="inlineStr">
        <is>
          <t>округлено вверх</t>
        </is>
      </c>
    </row>
    <row r="47" ht="24" customHeight="1">
      <c r="A47" s="7" t="inlineStr">
        <is>
          <t>🚗 АВТОПАРК ДЛЯ ВЫЕЗДОВ</t>
        </is>
      </c>
      <c r="B47" s="8" t="n"/>
      <c r="C47" s="8" t="n"/>
      <c r="D47" s="8" t="n"/>
      <c r="E47" s="8" t="n"/>
    </row>
    <row r="48" ht="22" customHeight="1">
      <c r="A48" s="14" t="inlineStr">
        <is>
          <t>Часов выездов на инциденты, /мес</t>
        </is>
      </c>
      <c r="B48" s="65">
        <f>SUMPRODUCT(Расчёты!B8:D8,Параметры!B10:D10,Параметры!B14:D14)</f>
        <v/>
      </c>
      <c r="E48" s="16" t="inlineStr">
        <is>
          <t>trips × время инцидента × инц/выезд</t>
        </is>
      </c>
    </row>
    <row r="49" ht="22" customHeight="1">
      <c r="A49" s="56" t="inlineStr">
        <is>
          <t>🛠 Авто для инцидентов</t>
        </is>
      </c>
      <c r="B49" s="57">
        <f>IFERROR(ROUNDUP(SUMPRODUCT(Расчёты!B8:D8,Параметры!B10:D10,Параметры!B14:D14)/B38,0),0)</f>
        <v/>
      </c>
      <c r="E49" s="19" t="inlineStr">
        <is>
          <t>ROUNDUP(часы выездов / часы авто)</t>
        </is>
      </c>
    </row>
    <row r="50" ht="22" customHeight="1">
      <c r="A50" s="54" t="inlineStr">
        <is>
          <t>🧹 Авто для профилактики</t>
        </is>
      </c>
      <c r="B50" s="63">
        <f>IFERROR(ROUNDUP(Расчёты!E7/B38,0),0)</f>
        <v/>
      </c>
      <c r="E50" s="16" t="inlineStr">
        <is>
          <t>профилактика распределена равномерно по месяцу</t>
        </is>
      </c>
    </row>
    <row r="51" ht="22" customHeight="1">
      <c r="A51" s="66" t="inlineStr">
        <is>
          <t>📦 Итого авто</t>
        </is>
      </c>
      <c r="B51" s="61">
        <f>B49+B50</f>
        <v/>
      </c>
      <c r="E51" s="62" t="inlineStr">
        <is>
          <t>сумма необходимых машин</t>
        </is>
      </c>
    </row>
    <row r="52" ht="22" customHeight="1">
      <c r="A52" s="14" t="inlineStr">
        <is>
          <t>Рейсов на инциденты, /мес</t>
        </is>
      </c>
      <c r="B52" s="59">
        <f>B49*WD</f>
        <v/>
      </c>
      <c r="E52" s="16" t="inlineStr">
        <is>
          <t>авто × рабочих дней (по 1 рейсу в день)</t>
        </is>
      </c>
    </row>
    <row r="53" ht="22" customHeight="1">
      <c r="A53" s="17" t="inlineStr">
        <is>
          <t>Рейсов на профилактику, /мес</t>
        </is>
      </c>
      <c r="B53" s="64">
        <f>B50*WD</f>
        <v/>
      </c>
      <c r="E53" s="19" t="inlineStr">
        <is>
          <t>авто × рабочих дней</t>
        </is>
      </c>
    </row>
    <row r="54" ht="22" customHeight="1">
      <c r="A54" s="66" t="inlineStr">
        <is>
          <t>💰 Затраты на автопарк, ₽/мес</t>
        </is>
      </c>
      <c r="B54" s="67">
        <f>(B52+B53)*CAR_DAILY_RATE</f>
        <v/>
      </c>
      <c r="E54" s="62" t="inlineStr">
        <is>
          <t>(рейсы инциденты + рейсы профилактика) × ставка/день</t>
        </is>
      </c>
    </row>
    <row r="55" ht="22" customHeight="1">
      <c r="A55" s="66" t="inlineStr">
        <is>
          <t>Затраты на автопарк за период</t>
        </is>
      </c>
      <c r="B55" s="67">
        <f>B54*PERIOD</f>
        <v/>
      </c>
      <c r="E55" s="62" t="inlineStr">
        <is>
          <t>₽ за период расчёта</t>
        </is>
      </c>
    </row>
    <row r="57" ht="36" customHeight="1">
      <c r="A57" s="16" t="inlineStr">
        <is>
          <t>Замечания: модель не учитывает SLA-штрафы и простой, стоимость управления подрядчиком, оборотный капитал на склад ЗИП, обучение и текучку инженеров.</t>
        </is>
      </c>
    </row>
  </sheetData>
  <mergeCells count="14">
    <mergeCell ref="A29:E29"/>
    <mergeCell ref="C6:D6"/>
    <mergeCell ref="C7:D7"/>
    <mergeCell ref="A18:E18"/>
    <mergeCell ref="A2:E2"/>
    <mergeCell ref="A57:E57"/>
    <mergeCell ref="A28:E28"/>
    <mergeCell ref="A11:E11"/>
    <mergeCell ref="A47:E47"/>
    <mergeCell ref="A5:E5"/>
    <mergeCell ref="A1:E1"/>
    <mergeCell ref="C3:E3"/>
    <mergeCell ref="A37:E37"/>
    <mergeCell ref="A9:E9"/>
  </mergeCells>
  <conditionalFormatting sqref="B8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C8">
    <cfRule type="cellIs" priority="3" operator="greaterThan" dxfId="2">
      <formula>0</formula>
    </cfRule>
    <cfRule type="cellIs" priority="4" operator="lessThan" dxfId="3">
      <formula>0</formula>
    </cfRule>
  </conditionalFormatting>
  <conditionalFormatting sqref="A9">
    <cfRule type="expression" priority="5" dxfId="4">
      <formula>ISNUMBER(SEARCH("ВЫШЕ",$A$9))</formula>
    </cfRule>
    <cfRule type="expression" priority="6" dxfId="5">
      <formula>ISNUMBER(SEARCH("НИЖЕ",$A$9))</formula>
    </cfRule>
    <cfRule type="expression" priority="7" dxfId="6">
      <formula>ISNUMBER(SEARCH("Введите",$A$9))</formula>
    </cfRule>
  </conditionalFormatting>
  <conditionalFormatting sqref="B16">
    <cfRule type="cellIs" priority="8" operator="greaterThan" dxfId="7">
      <formula>0</formula>
    </cfRule>
    <cfRule type="cellIs" priority="9" operator="lessThan" dxfId="8">
      <formula>0</formula>
    </cfRule>
  </conditionalFormatting>
  <conditionalFormatting sqref="C16">
    <cfRule type="cellIs" priority="10" operator="greaterThan" dxfId="7">
      <formula>0</formula>
    </cfRule>
    <cfRule type="cellIs" priority="11" operator="lessThan" dxfId="8">
      <formula>0</formula>
    </cfRule>
  </conditionalFormatting>
  <conditionalFormatting sqref="D16">
    <cfRule type="cellIs" priority="12" operator="greaterThan" dxfId="7">
      <formula>0</formula>
    </cfRule>
    <cfRule type="cellIs" priority="13" operator="lessThan" dxfId="8">
      <formula>0</formula>
    </cfRule>
  </conditionalFormatting>
  <conditionalFormatting sqref="E16">
    <cfRule type="cellIs" priority="14" operator="greaterThan" dxfId="7">
      <formula>0</formula>
    </cfRule>
    <cfRule type="cellIs" priority="15" operator="lessThan" dxfId="8">
      <formula>0</formula>
    </cfRule>
  </conditionalFormatting>
  <conditionalFormatting sqref="B35">
    <cfRule type="expression" priority="16" dxfId="7">
      <formula>ISNUMBER(SEARCH("меньше тарифа",B35))</formula>
    </cfRule>
    <cfRule type="expression" priority="17" dxfId="8">
      <formula>ISNUMBER(SEARCH("больше тарифа",B35))</formula>
    </cfRule>
  </conditionalFormatting>
  <conditionalFormatting sqref="C35">
    <cfRule type="expression" priority="18" dxfId="7">
      <formula>ISNUMBER(SEARCH("меньше тарифа",C35))</formula>
    </cfRule>
    <cfRule type="expression" priority="19" dxfId="8">
      <formula>ISNUMBER(SEARCH("больше тарифа",C35))</formula>
    </cfRule>
  </conditionalFormatting>
  <conditionalFormatting sqref="D35">
    <cfRule type="expression" priority="20" dxfId="7">
      <formula>ISNUMBER(SEARCH("меньше тарифа",D35))</formula>
    </cfRule>
    <cfRule type="expression" priority="21" dxfId="8">
      <formula>ISNUMBER(SEARCH("больше тарифа",D35))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1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68" t="inlineStr">
        <is>
          <t>Внутренние расчёты</t>
        </is>
      </c>
    </row>
    <row r="2">
      <c r="A2" s="16" t="inlineStr">
        <is>
          <t>Технический лист с помесячными показателями по типам оборудования. Используется формулами листа «Результат».</t>
        </is>
      </c>
    </row>
    <row r="4" ht="22" customHeight="1">
      <c r="A4" s="9" t="inlineStr">
        <is>
          <t>Показатель</t>
        </is>
      </c>
      <c r="B4" s="13" t="inlineStr">
        <is>
          <t>АРМ</t>
        </is>
      </c>
      <c r="C4" s="13" t="inlineStr">
        <is>
          <t>Серверы</t>
        </is>
      </c>
      <c r="D4" s="13" t="inlineStr">
        <is>
          <t>Принтеры</t>
        </is>
      </c>
      <c r="E4" s="13" t="inlineStr">
        <is>
          <t>ИТОГО</t>
        </is>
      </c>
    </row>
    <row r="5" ht="18" customHeight="1">
      <c r="A5" s="14" t="inlineStr">
        <is>
          <t>Инциденты, /мес</t>
        </is>
      </c>
      <c r="B5" s="69">
        <f>Параметры!B9/12*Параметры!B16</f>
        <v/>
      </c>
      <c r="C5" s="69">
        <f>Параметры!C9/12*Параметры!C16</f>
        <v/>
      </c>
      <c r="D5" s="69">
        <f>Параметры!D9/12*Параметры!D16</f>
        <v/>
      </c>
      <c r="E5" s="70">
        <f>SUM(B5:D5)</f>
        <v/>
      </c>
    </row>
    <row r="6" ht="18" customHeight="1">
      <c r="A6" s="17" t="inlineStr">
        <is>
          <t>Часы на инциденты</t>
        </is>
      </c>
      <c r="B6" s="71">
        <f>B5*Параметры!B11</f>
        <v/>
      </c>
      <c r="C6" s="71">
        <f>C5*Параметры!C11</f>
        <v/>
      </c>
      <c r="D6" s="71">
        <f>D5*Параметры!D11</f>
        <v/>
      </c>
      <c r="E6" s="72">
        <f>SUM(B6:D6)</f>
        <v/>
      </c>
    </row>
    <row r="7" ht="18" customHeight="1">
      <c r="A7" s="14" t="inlineStr">
        <is>
          <t>Часы на профилактику</t>
        </is>
      </c>
      <c r="B7" s="69">
        <f>Параметры!B16*Параметры!B13/100*Параметры!B12</f>
        <v/>
      </c>
      <c r="C7" s="69">
        <f>Параметры!C16*Параметры!C13/100*Параметры!C12</f>
        <v/>
      </c>
      <c r="D7" s="69">
        <f>Параметры!D16*Параметры!D13/100*Параметры!D12</f>
        <v/>
      </c>
      <c r="E7" s="70">
        <f>SUM(B7:D7)</f>
        <v/>
      </c>
    </row>
    <row r="8" ht="18" customHeight="1">
      <c r="A8" s="17" t="inlineStr">
        <is>
          <t>Выездов, /мес</t>
        </is>
      </c>
      <c r="B8" s="71">
        <f>IFERROR(B5*Параметры!B14/MAX(Параметры!B15,1),0)</f>
        <v/>
      </c>
      <c r="C8" s="71">
        <f>IFERROR(C5*Параметры!C14/MAX(Параметры!C15,1),0)</f>
        <v/>
      </c>
      <c r="D8" s="71">
        <f>IFERROR(D5*Параметры!D14/MAX(Параметры!D15,1),0)</f>
        <v/>
      </c>
      <c r="E8" s="72">
        <f>SUM(B8:D8)</f>
        <v/>
      </c>
    </row>
    <row r="9" ht="18" customHeight="1">
      <c r="A9" s="14" t="inlineStr">
        <is>
          <t>Транспорт, ₽/мес</t>
        </is>
      </c>
      <c r="B9" s="73">
        <f>B8*TRANS</f>
        <v/>
      </c>
      <c r="C9" s="73">
        <f>C8*TRANS</f>
        <v/>
      </c>
      <c r="D9" s="73">
        <f>D8*TRANS</f>
        <v/>
      </c>
      <c r="E9" s="74">
        <f>SUM(B9:D9)</f>
        <v/>
      </c>
    </row>
    <row r="10" ht="18" customHeight="1">
      <c r="A10" s="17" t="inlineStr">
        <is>
          <t>ЗИП, ₽/мес</t>
        </is>
      </c>
      <c r="B10" s="75">
        <f>B5*Параметры!B10</f>
        <v/>
      </c>
      <c r="C10" s="75">
        <f>C5*Параметры!C10</f>
        <v/>
      </c>
      <c r="D10" s="75">
        <f>D5*Параметры!D10</f>
        <v/>
      </c>
      <c r="E10" s="76">
        <f>SUM(B10:D10)</f>
        <v/>
      </c>
    </row>
    <row r="11" ht="18" customHeight="1">
      <c r="A11" s="14" t="inlineStr">
        <is>
          <t>ФОТ на инциденты, ₽/мес</t>
        </is>
      </c>
      <c r="B11" s="73">
        <f>B6*ENG_RATE_ARM</f>
        <v/>
      </c>
      <c r="C11" s="73">
        <f>C6*ENG_RATE_SRV</f>
        <v/>
      </c>
      <c r="D11" s="73">
        <f>D6*ENG_RATE_PRN</f>
        <v/>
      </c>
      <c r="E11" s="74">
        <f>SUM(B11:D11)</f>
        <v/>
      </c>
    </row>
    <row r="12" ht="18" customHeight="1">
      <c r="A12" s="17" t="inlineStr">
        <is>
          <t>ФОТ на профилактику, ₽/мес</t>
        </is>
      </c>
      <c r="B12" s="75">
        <f>B7*ENG_RATE_ARM</f>
        <v/>
      </c>
      <c r="C12" s="75">
        <f>C7*ENG_RATE_SRV</f>
        <v/>
      </c>
      <c r="D12" s="75">
        <f>D7*ENG_RATE_PRN</f>
        <v/>
      </c>
      <c r="E12" s="76">
        <f>SUM(B12:D12)</f>
        <v/>
      </c>
    </row>
    <row r="13" ht="18" customHeight="1">
      <c r="A13" s="14" t="inlineStr">
        <is>
          <t>Амортизация, ₽/мес</t>
        </is>
      </c>
      <c r="B13" s="73">
        <f>Параметры!B7/Параметры!B8*Параметры!B16</f>
        <v/>
      </c>
      <c r="C13" s="73">
        <f>Параметры!C7/Параметры!C8*Параметры!C16</f>
        <v/>
      </c>
      <c r="D13" s="73">
        <f>Параметры!D7/Параметры!D8*Параметры!D16</f>
        <v/>
      </c>
      <c r="E13" s="74">
        <f>SUM(B13:D13)</f>
        <v/>
      </c>
    </row>
    <row r="15" ht="18" customHeight="1">
      <c r="A15" s="14" t="inlineStr">
        <is>
          <t>Активных типов</t>
        </is>
      </c>
      <c r="B15" s="77">
        <f>COUNTIF(Параметры!B16:D16,"&gt;0")</f>
        <v/>
      </c>
    </row>
    <row r="16" ht="18" customHeight="1">
      <c r="A16" s="14" t="inlineStr">
        <is>
          <t>Всего устройств</t>
        </is>
      </c>
      <c r="B16" s="77">
        <f>SUM(Параметры!B16:D16)</f>
        <v/>
      </c>
    </row>
    <row r="17" ht="18" customHeight="1">
      <c r="A17" s="14" t="inlineStr">
        <is>
          <t>Скидка применима</t>
        </is>
      </c>
      <c r="B17" s="77">
        <f>IF(AND(DISC_THR&gt;0,B16&gt;=DISC_THR,DISC_PCT&gt;0),1,0)</f>
        <v/>
      </c>
    </row>
    <row r="18" ht="18" customHeight="1">
      <c r="A18" s="14" t="inlineStr">
        <is>
          <t>discountMul</t>
        </is>
      </c>
      <c r="B18" s="78">
        <f>IF(B17=1,1-DISC_PCT/100,1)</f>
        <v/>
      </c>
    </row>
    <row r="19" ht="18" customHeight="1">
      <c r="A19" s="14" t="inlineStr">
        <is>
          <t>ownMul (НДС)</t>
        </is>
      </c>
      <c r="B19" s="78">
        <f>IF(VAT_MODE="gross",1+VAT_RATE/100,1)</f>
        <v/>
      </c>
    </row>
    <row r="20" ht="18" customHeight="1">
      <c r="A20" s="14" t="inlineStr">
        <is>
          <t>contractFactor (НДС)</t>
        </is>
      </c>
      <c r="B20" s="78">
        <f>IF(VAT_MODE="net",1/(1+VAT_RATE/100),1)</f>
        <v/>
      </c>
    </row>
    <row r="22" ht="18" customHeight="1">
      <c r="A22" s="14" t="inlineStr">
        <is>
          <t>Накладные распределено, ₽/мес</t>
        </is>
      </c>
      <c r="B22" s="73">
        <f>IF(Параметры!B16=0,0,OVH*(IF(OVH_METHOD="units",IFERROR(Параметры!B16/B16,0),IF(OVH_METHOD="labor",IFERROR((B6+B7)/(E6+E7),0),IF(OVH_METHOD="equal",1/MAX(B15,1),0)))))</f>
        <v/>
      </c>
      <c r="C22" s="73">
        <f>IF(Параметры!C16=0,0,OVH*(IF(OVH_METHOD="units",IFERROR(Параметры!C16/B16,0),IF(OVH_METHOD="labor",IFERROR((C6+C7)/(E6+E7),0),IF(OVH_METHOD="equal",1/MAX(B15,1),0)))))</f>
        <v/>
      </c>
      <c r="D22" s="73">
        <f>IF(Параметры!D16=0,0,OVH*(IF(OVH_METHOD="units",IFERROR(Параметры!D16/B16,0),IF(OVH_METHOD="labor",IFERROR((D6+D7)/(E6+E7),0),IF(OVH_METHOD="equal",1/MAX(B15,1),0)))))</f>
        <v/>
      </c>
      <c r="E22" s="74">
        <f>SUM(B22:D22)</f>
        <v/>
      </c>
    </row>
    <row r="23" ht="18" customHeight="1">
      <c r="A23" s="14" t="inlineStr">
        <is>
          <t>Переменные (до discount/risk), ₽/мес</t>
        </is>
      </c>
      <c r="B23" s="73">
        <f>B10+B11+B9+B12</f>
        <v/>
      </c>
      <c r="C23" s="73">
        <f>C10+C11+C9+C12</f>
        <v/>
      </c>
      <c r="D23" s="73">
        <f>D10+D11+D9+D12</f>
        <v/>
      </c>
      <c r="E23" s="74">
        <f>SUM(B23:D23)</f>
        <v/>
      </c>
    </row>
    <row r="24" ht="18" customHeight="1">
      <c r="A24" s="14" t="inlineStr">
        <is>
          <t>Свои ₽/мес (без НДС-приведения)</t>
        </is>
      </c>
      <c r="B24" s="73">
        <f>B13+B23*B18*RISK_K+B22</f>
        <v/>
      </c>
      <c r="C24" s="73">
        <f>C13+C23*B18*RISK_K+C22</f>
        <v/>
      </c>
      <c r="D24" s="73">
        <f>D13+D23*B18*RISK_K+D22</f>
        <v/>
      </c>
      <c r="E24" s="74">
        <f>SUM(B24:D24)</f>
        <v/>
      </c>
    </row>
    <row r="25" ht="18" customHeight="1">
      <c r="A25" s="14" t="inlineStr">
        <is>
          <t>Контракт ₽/мес (приведено к базе)</t>
        </is>
      </c>
      <c r="B25" s="73">
        <f>Параметры!B16*Параметры!B17*B20</f>
        <v/>
      </c>
      <c r="C25" s="73">
        <f>Параметры!C16*Параметры!C17*B20</f>
        <v/>
      </c>
      <c r="D25" s="73">
        <f>Параметры!D16*Параметры!D17*B20</f>
        <v/>
      </c>
      <c r="E25" s="74">
        <f>SUM(B25:D25)</f>
        <v/>
      </c>
    </row>
    <row r="26" ht="18" customHeight="1">
      <c r="A26" s="14" t="inlineStr">
        <is>
          <t>Свои ₽/мес (с НДС-приведением)</t>
        </is>
      </c>
      <c r="B26" s="73">
        <f>B24*B19</f>
        <v/>
      </c>
      <c r="C26" s="73">
        <f>C24*B19</f>
        <v/>
      </c>
      <c r="D26" s="73">
        <f>D24*B19</f>
        <v/>
      </c>
      <c r="E26" s="74">
        <f>SUM(B26:D26)</f>
        <v/>
      </c>
    </row>
    <row r="27" ht="18" customHeight="1">
      <c r="A27" s="14" t="inlineStr">
        <is>
          <t>Свои ₽ за период</t>
        </is>
      </c>
      <c r="B27" s="73">
        <f>B26*PERIOD</f>
        <v/>
      </c>
      <c r="C27" s="73">
        <f>C26*PERIOD</f>
        <v/>
      </c>
      <c r="D27" s="73">
        <f>D26*PERIOD</f>
        <v/>
      </c>
      <c r="E27" s="74">
        <f>SUM(B27:D27)</f>
        <v/>
      </c>
    </row>
    <row r="28" ht="18" customHeight="1">
      <c r="A28" s="14" t="inlineStr">
        <is>
          <t>Контракт ₽ за период</t>
        </is>
      </c>
      <c r="B28" s="73">
        <f>B25*PERIOD</f>
        <v/>
      </c>
      <c r="C28" s="73">
        <f>C25*PERIOD</f>
        <v/>
      </c>
      <c r="D28" s="73">
        <f>D25*PERIOD</f>
        <v/>
      </c>
      <c r="E28" s="74">
        <f>SUM(B28:D28)</f>
        <v/>
      </c>
    </row>
    <row r="29" ht="18" customHeight="1">
      <c r="A29" s="14" t="inlineStr">
        <is>
          <t>Затраты на ед. (полные), ₽/мес</t>
        </is>
      </c>
      <c r="B29" s="79">
        <f>IFERROR(B26/Параметры!B16,0)</f>
        <v/>
      </c>
      <c r="C29" s="79">
        <f>IFERROR(C26/Параметры!C16,0)</f>
        <v/>
      </c>
      <c r="D29" s="79">
        <f>IFERROR(D26/Параметры!D16,0)</f>
        <v/>
      </c>
    </row>
    <row r="30" ht="18" customHeight="1">
      <c r="A30" s="14" t="inlineStr">
        <is>
          <t>Виртуальный бюджет, ₽/мес</t>
        </is>
      </c>
      <c r="B30" s="73">
        <f>Параметры!B16*Параметры!B17</f>
        <v/>
      </c>
      <c r="C30" s="73">
        <f>Параметры!C16*Параметры!C17</f>
        <v/>
      </c>
      <c r="D30" s="73">
        <f>Параметры!D16*Параметры!D17</f>
        <v/>
      </c>
    </row>
    <row r="31" ht="18" customHeight="1">
      <c r="A31" s="14" t="inlineStr">
        <is>
          <t>Безубыточный объём, шт.</t>
        </is>
      </c>
      <c r="B31" s="77">
        <f>IF(B29&gt;0.0001,B30/B29,"")</f>
        <v/>
      </c>
      <c r="C31" s="77">
        <f>IF(C29&gt;0.0001,C30/C29,"")</f>
        <v/>
      </c>
      <c r="D31" s="77">
        <f>IF(D29&gt;0.0001,D30/D29,"")</f>
        <v/>
      </c>
    </row>
  </sheetData>
  <mergeCells count="1"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2026-05-29T08:37:36Z</dcterms:created>
  <dcterms:modified xmlns:dcterms="http://purl.org/dc/terms/" xmlns:xsi="http://www.w3.org/2001/XMLSchema-instance" xsi:type="dcterms:W3CDTF">2026-05-29T08:37:36Z</dcterms:modified>
</cp:coreProperties>
</file>